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3" yWindow="51" windowWidth="24994" windowHeight="1124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7" i="1"/>
  <c r="D115"/>
  <c r="D114"/>
  <c r="D113"/>
  <c r="B116"/>
  <c r="C81"/>
  <c r="B114" s="1"/>
  <c r="C82"/>
  <c r="B115" s="1"/>
  <c r="C83"/>
  <c r="C84"/>
  <c r="B117" s="1"/>
  <c r="C80"/>
  <c r="B113" s="1"/>
  <c r="B76"/>
  <c r="B74"/>
  <c r="B73"/>
  <c r="B75" s="1"/>
  <c r="E21"/>
  <c r="F21" s="1"/>
  <c r="E22"/>
  <c r="F22" s="1"/>
  <c r="E64" s="1"/>
  <c r="E23"/>
  <c r="F23" s="1"/>
  <c r="E65" s="1"/>
  <c r="E20"/>
  <c r="F20" s="1"/>
  <c r="E62" l="1"/>
  <c r="E63"/>
  <c r="F63" s="1"/>
  <c r="F65"/>
  <c r="H65"/>
  <c r="D84" s="1"/>
  <c r="E84" s="1"/>
  <c r="F24"/>
  <c r="E61" s="1"/>
  <c r="F25"/>
  <c r="B31" l="1"/>
  <c r="B143"/>
  <c r="F84"/>
  <c r="G84" s="1"/>
  <c r="H84" s="1"/>
  <c r="C117"/>
  <c r="E117" s="1"/>
  <c r="F64"/>
  <c r="H64"/>
  <c r="D83" s="1"/>
  <c r="E83" s="1"/>
  <c r="H63"/>
  <c r="D82" s="1"/>
  <c r="E82" s="1"/>
  <c r="F61"/>
  <c r="H61"/>
  <c r="D80" s="1"/>
  <c r="E80" s="1"/>
  <c r="F62"/>
  <c r="H62"/>
  <c r="D81" s="1"/>
  <c r="E81" s="1"/>
  <c r="D143" l="1"/>
  <c r="B147"/>
  <c r="D147" s="1"/>
  <c r="F83"/>
  <c r="G83" s="1"/>
  <c r="H83" s="1"/>
  <c r="C116"/>
  <c r="E116" s="1"/>
  <c r="F82"/>
  <c r="G82" s="1"/>
  <c r="H82" s="1"/>
  <c r="C115"/>
  <c r="E115" s="1"/>
  <c r="F80"/>
  <c r="G80" s="1"/>
  <c r="C113"/>
  <c r="E113" s="1"/>
  <c r="F81"/>
  <c r="G81" s="1"/>
  <c r="H81" s="1"/>
  <c r="C114"/>
  <c r="E114" s="1"/>
  <c r="B88" l="1"/>
  <c r="B89" s="1"/>
  <c r="D89" s="1"/>
  <c r="B137" s="1"/>
  <c r="B142" s="1"/>
  <c r="D156" s="1"/>
  <c r="F156" s="1"/>
  <c r="C162" s="1"/>
  <c r="B120"/>
  <c r="B121" s="1"/>
  <c r="D121" s="1"/>
  <c r="H80"/>
  <c r="B151" l="1"/>
</calcChain>
</file>

<file path=xl/sharedStrings.xml><?xml version="1.0" encoding="utf-8"?>
<sst xmlns="http://schemas.openxmlformats.org/spreadsheetml/2006/main" count="192" uniqueCount="143">
  <si>
    <t>Area</t>
  </si>
  <si>
    <t>Officina</t>
  </si>
  <si>
    <t>Tipo</t>
  </si>
  <si>
    <t>Trapano</t>
  </si>
  <si>
    <t>Q.tà</t>
  </si>
  <si>
    <t>Smerigliatrice</t>
  </si>
  <si>
    <t>Avvitatore</t>
  </si>
  <si>
    <t>Paranco</t>
  </si>
  <si>
    <t>Consumo</t>
  </si>
  <si>
    <t>Nl/min</t>
  </si>
  <si>
    <t>bar</t>
  </si>
  <si>
    <t>%</t>
  </si>
  <si>
    <t>Cons. tot</t>
  </si>
  <si>
    <t>m3/s</t>
  </si>
  <si>
    <t>°C</t>
  </si>
  <si>
    <t>Magazzino</t>
  </si>
  <si>
    <t>BAR</t>
  </si>
  <si>
    <t>Qc = FAD =</t>
  </si>
  <si>
    <t>DATI DI PROGETTO</t>
  </si>
  <si>
    <t>Tratti</t>
  </si>
  <si>
    <t>0-1</t>
  </si>
  <si>
    <t>1-2</t>
  </si>
  <si>
    <t>2-3</t>
  </si>
  <si>
    <t>3-4</t>
  </si>
  <si>
    <t>1-5</t>
  </si>
  <si>
    <t>Lunghezza (m)</t>
  </si>
  <si>
    <t>p.  Lavoro</t>
  </si>
  <si>
    <t>Qa TOT.</t>
  </si>
  <si>
    <t>Qa 80%</t>
  </si>
  <si>
    <t>Nodi</t>
  </si>
  <si>
    <t>Macchine</t>
  </si>
  <si>
    <t>Portata m3/s</t>
  </si>
  <si>
    <t>m/s</t>
  </si>
  <si>
    <t>alla pc</t>
  </si>
  <si>
    <t>(mm)</t>
  </si>
  <si>
    <t>d tubi</t>
  </si>
  <si>
    <t>2 trapani</t>
  </si>
  <si>
    <t>2 smerigliat.</t>
  </si>
  <si>
    <t>2 avvitatori</t>
  </si>
  <si>
    <t>1 paranco</t>
  </si>
  <si>
    <t>d commerc.</t>
  </si>
  <si>
    <t>mm</t>
  </si>
  <si>
    <t>v effettiva</t>
  </si>
  <si>
    <t>Rete di distribuzione aria compressa a 7 bar con tubi in acciaio</t>
  </si>
  <si>
    <t xml:space="preserve">Tc </t>
  </si>
  <si>
    <t>Ta</t>
  </si>
  <si>
    <t>temperatura ingresso compressore</t>
  </si>
  <si>
    <t>pressione aspirazione compressore</t>
  </si>
  <si>
    <t>temperatura uscita compressore</t>
  </si>
  <si>
    <t>pressione uscita compressore</t>
  </si>
  <si>
    <t>Fattore contemporaneità utilizzo macchine</t>
  </si>
  <si>
    <t>Calcolo dei  consumi aria libera (alla pa)</t>
  </si>
  <si>
    <t>pc</t>
  </si>
  <si>
    <t>pa</t>
  </si>
  <si>
    <t>Perdite di carico per attrito</t>
  </si>
  <si>
    <t>Tc</t>
  </si>
  <si>
    <t>r</t>
  </si>
  <si>
    <t>kg/m3</t>
  </si>
  <si>
    <t>m</t>
  </si>
  <si>
    <t>Kg/m s</t>
  </si>
  <si>
    <t>Re</t>
  </si>
  <si>
    <t>f</t>
  </si>
  <si>
    <t>Pa</t>
  </si>
  <si>
    <t>Yc</t>
  </si>
  <si>
    <t>d comm.</t>
  </si>
  <si>
    <t>Yc max</t>
  </si>
  <si>
    <t>NB: le perdite massime per attrito nell'impianto NON sono la somma di tutte le perdite ma  solo quelle del</t>
  </si>
  <si>
    <t>Tipologia</t>
  </si>
  <si>
    <t>k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</si>
  <si>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pc max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</si>
  <si>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pc</t>
    </r>
  </si>
  <si>
    <t>curve a 90  (&lt;28mm)</t>
  </si>
  <si>
    <t>curve a 90  (28-54mm)</t>
  </si>
  <si>
    <t>diramaz. T semplice</t>
  </si>
  <si>
    <t>diramaz. T doppia</t>
  </si>
  <si>
    <t>valvole a sfera   (&lt;28mm)</t>
  </si>
  <si>
    <t>valvole a sfera (28-54mm)</t>
  </si>
  <si>
    <t>Perdite di carico localizzate</t>
  </si>
  <si>
    <t>v aria MAX.</t>
  </si>
  <si>
    <t>K tot</t>
  </si>
  <si>
    <t>Il tratto più sfavorito, cioè quello che ha le perdite maggiori è 0-4</t>
  </si>
  <si>
    <r>
      <t>Y</t>
    </r>
    <r>
      <rPr>
        <sz val="6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max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</si>
  <si>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</t>
    </r>
    <r>
      <rPr>
        <sz val="8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max</t>
    </r>
  </si>
  <si>
    <t>150 micron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</si>
  <si>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 tot max</t>
    </r>
  </si>
  <si>
    <t>La portata in uscita al compressore va calcolata con Qa 80%</t>
  </si>
  <si>
    <t>I dati per la  scelta del compressore sono quindi:</t>
  </si>
  <si>
    <t>m3/h</t>
  </si>
  <si>
    <t>NB: la Qa 80% è la portata da usare per la  scelta  del compressore!</t>
  </si>
  <si>
    <t>m3</t>
  </si>
  <si>
    <t>portata sicur.</t>
  </si>
  <si>
    <t>pressione pc</t>
  </si>
  <si>
    <t>k sicurezza</t>
  </si>
  <si>
    <t>C= Qc/60</t>
  </si>
  <si>
    <t>w</t>
  </si>
  <si>
    <t>Kw</t>
  </si>
  <si>
    <t>€/Kwh</t>
  </si>
  <si>
    <t>Numero giornate lavorative all'anno</t>
  </si>
  <si>
    <t>gg</t>
  </si>
  <si>
    <t>Numero ore lavorative</t>
  </si>
  <si>
    <t>ore</t>
  </si>
  <si>
    <t>€</t>
  </si>
  <si>
    <t>Perdita di pressione complessiva:</t>
  </si>
  <si>
    <t>Per la portata in genere si introduce un coefficiente di sicurezza:</t>
  </si>
  <si>
    <t>funzionamento intermittente del compressore, fughe d'aria ecc.</t>
  </si>
  <si>
    <t>La capacità del serbatoio di accumulo vale quindi:</t>
  </si>
  <si>
    <r>
      <t xml:space="preserve">Considerando un rendimento tipico del compressre </t>
    </r>
    <r>
      <rPr>
        <sz val="11"/>
        <color theme="1"/>
        <rFont val="Symbol"/>
        <family val="1"/>
        <charset val="2"/>
      </rPr>
      <t xml:space="preserve"> h</t>
    </r>
  </si>
  <si>
    <t>La potenza del compressore Pot. vale</t>
  </si>
  <si>
    <t>Costo energia elettrica C el.</t>
  </si>
  <si>
    <t>Costo energia compressore anno</t>
  </si>
  <si>
    <t>Portata in uscita dal compressore (FAD )</t>
  </si>
  <si>
    <r>
      <t xml:space="preserve">= Qa (pa/pc) (Tc/Ta)    </t>
    </r>
    <r>
      <rPr>
        <i/>
        <sz val="11"/>
        <color theme="1"/>
        <rFont val="Calibri"/>
        <family val="2"/>
        <scheme val="minor"/>
      </rPr>
      <t>NB: temperature in K</t>
    </r>
  </si>
  <si>
    <t>Questa portata va usata per dimensionare l'eventuale serbatoio di accumulo dell'aria compressa</t>
  </si>
  <si>
    <t>La portata nei vari tratti di tubi si trova alla pc (va divisa la portata alla pa!)</t>
  </si>
  <si>
    <t>Il tubo commerciale in genere si sceglie più grande in modo da non superare la v max fissata inizialmente!</t>
  </si>
  <si>
    <t>Devono essere calcolate le proprietà dell'aria nelle condizioni di utilizzo negli utilizzatori</t>
  </si>
  <si>
    <r>
      <t xml:space="preserve">m  </t>
    </r>
    <r>
      <rPr>
        <sz val="11"/>
        <color theme="1"/>
        <rFont val="Calibri"/>
        <family val="2"/>
        <scheme val="minor"/>
      </rPr>
      <t>dinamica</t>
    </r>
  </si>
  <si>
    <r>
      <t xml:space="preserve">n  </t>
    </r>
    <r>
      <rPr>
        <sz val="11"/>
        <color theme="1"/>
        <rFont val="Calibri"/>
        <family val="2"/>
        <scheme val="minor"/>
      </rPr>
      <t>cinematica</t>
    </r>
  </si>
  <si>
    <t>scabrezza tubo</t>
  </si>
  <si>
    <t>m2/s</t>
  </si>
  <si>
    <r>
      <t xml:space="preserve">v d / </t>
    </r>
    <r>
      <rPr>
        <sz val="11"/>
        <color theme="1"/>
        <rFont val="Symbol"/>
        <family val="1"/>
        <charset val="2"/>
      </rPr>
      <t>n</t>
    </r>
    <r>
      <rPr>
        <sz val="11"/>
        <color theme="1"/>
        <rFont val="Calibri"/>
        <family val="2"/>
        <scheme val="minor"/>
      </rPr>
      <t xml:space="preserve"> </t>
    </r>
  </si>
  <si>
    <r>
      <t>NB: si passa dalla perdita in metri ai Pa moltiplicando per il peso specifico del fluido (</t>
    </r>
    <r>
      <rPr>
        <i/>
        <sz val="11"/>
        <color theme="1"/>
        <rFont val="Symbol"/>
        <family val="1"/>
        <charset val="2"/>
      </rPr>
      <t>r</t>
    </r>
    <r>
      <rPr>
        <i/>
        <sz val="11"/>
        <color theme="1"/>
        <rFont val="Calibri"/>
        <family val="2"/>
        <scheme val="minor"/>
      </rPr>
      <t>g)</t>
    </r>
  </si>
  <si>
    <t>Costruiamo la tabella sommando in ogni tratto le portate di aria degli attuatori serviti.</t>
  </si>
  <si>
    <t>Fissiamo una velocità massima dell'aria nei rami primari e  secondari (in genere compresa fra 6-10 m/s).</t>
  </si>
  <si>
    <t>Per il dimensionamento dei tubi usiamo la Qa tot.</t>
  </si>
  <si>
    <t>Nodo</t>
  </si>
  <si>
    <t>Macchina</t>
  </si>
  <si>
    <t>3 - Smerigliatrice</t>
  </si>
  <si>
    <t>2 - Trapano</t>
  </si>
  <si>
    <t xml:space="preserve"> 4 - Avvitatore</t>
  </si>
  <si>
    <t>5 - Paranco</t>
  </si>
  <si>
    <t>Le portate in evidenza sono quella alla pc.</t>
  </si>
  <si>
    <t>Riprotiemo in una tab. tutti i coeff. K di perdita localizzata presenti nel circito</t>
  </si>
  <si>
    <t>Sommiamo i coefficienti di perdita nei vari tratti</t>
  </si>
  <si>
    <t>ramo più sfavorito (quello più lungo).</t>
  </si>
  <si>
    <r>
      <t>Y</t>
    </r>
    <r>
      <rPr>
        <sz val="4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L</t>
    </r>
  </si>
  <si>
    <t>portata aria lib.</t>
  </si>
  <si>
    <t>Con queste richieste si può usare un compressore alternativo.</t>
  </si>
  <si>
    <t>NB: la portata è quella alla pressione pc!</t>
  </si>
  <si>
    <t>Costi di esercizio</t>
  </si>
  <si>
    <t>Perdita di carico TOTALE</t>
  </si>
  <si>
    <t>Alla perdita di carico fino all’utenza critica si aggiungono le perdite nella sala compressore</t>
  </si>
  <si>
    <t>Scelta compressore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</si>
</sst>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0.000"/>
    <numFmt numFmtId="166" formatCode="0.000E+00"/>
    <numFmt numFmtId="167" formatCode="0.0"/>
    <numFmt numFmtId="172" formatCode="0.00000"/>
  </numFmts>
  <fonts count="8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2" borderId="0" xfId="0" quotePrefix="1" applyFill="1"/>
    <xf numFmtId="0" fontId="0" fillId="3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/>
    <xf numFmtId="164" fontId="0" fillId="2" borderId="1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/>
    <xf numFmtId="2" fontId="0" fillId="2" borderId="0" xfId="0" applyNumberFormat="1" applyFill="1"/>
    <xf numFmtId="166" fontId="0" fillId="2" borderId="0" xfId="0" applyNumberFormat="1" applyFill="1" applyBorder="1"/>
    <xf numFmtId="49" fontId="0" fillId="3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" fontId="0" fillId="2" borderId="0" xfId="0" applyNumberFormat="1" applyFill="1"/>
    <xf numFmtId="1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1" fontId="0" fillId="2" borderId="0" xfId="0" applyNumberFormat="1" applyFill="1" applyBorder="1"/>
    <xf numFmtId="0" fontId="0" fillId="2" borderId="1" xfId="0" applyFill="1" applyBorder="1" applyAlignment="1">
      <alignment horizontal="center"/>
    </xf>
    <xf numFmtId="167" fontId="0" fillId="2" borderId="0" xfId="0" applyNumberFormat="1" applyFill="1"/>
    <xf numFmtId="3" fontId="0" fillId="2" borderId="0" xfId="0" applyNumberFormat="1" applyFill="1"/>
    <xf numFmtId="165" fontId="0" fillId="2" borderId="0" xfId="0" applyNumberFormat="1" applyFill="1"/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164" fontId="0" fillId="2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0" xfId="0" applyFon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72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7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107308</xdr:colOff>
      <xdr:row>92</xdr:row>
      <xdr:rowOff>21143</xdr:rowOff>
    </xdr:from>
    <xdr:to>
      <xdr:col>8</xdr:col>
      <xdr:colOff>208726</xdr:colOff>
      <xdr:row>107</xdr:row>
      <xdr:rowOff>63090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1416" y="16880393"/>
          <a:ext cx="3825238" cy="2845018"/>
        </a:xfrm>
        <a:prstGeom prst="rect">
          <a:avLst/>
        </a:prstGeom>
      </xdr:spPr>
    </xdr:pic>
    <xdr:clientData/>
  </xdr:twoCellAnchor>
  <xdr:twoCellAnchor editAs="oneCell">
    <xdr:from>
      <xdr:col>0</xdr:col>
      <xdr:colOff>8313</xdr:colOff>
      <xdr:row>125</xdr:row>
      <xdr:rowOff>145111</xdr:rowOff>
    </xdr:from>
    <xdr:to>
      <xdr:col>2</xdr:col>
      <xdr:colOff>360828</xdr:colOff>
      <xdr:row>133</xdr:row>
      <xdr:rowOff>88085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13" y="22996039"/>
          <a:ext cx="2452551" cy="1430688"/>
        </a:xfrm>
        <a:prstGeom prst="rect">
          <a:avLst/>
        </a:prstGeom>
      </xdr:spPr>
    </xdr:pic>
    <xdr:clientData/>
  </xdr:twoCellAnchor>
  <xdr:twoCellAnchor editAs="oneCell">
    <xdr:from>
      <xdr:col>2</xdr:col>
      <xdr:colOff>487432</xdr:colOff>
      <xdr:row>124</xdr:row>
      <xdr:rowOff>176134</xdr:rowOff>
    </xdr:from>
    <xdr:to>
      <xdr:col>8</xdr:col>
      <xdr:colOff>167822</xdr:colOff>
      <xdr:row>138</xdr:row>
      <xdr:rowOff>68035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87468" y="22841098"/>
          <a:ext cx="4048282" cy="2495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100480</xdr:colOff>
      <xdr:row>102</xdr:row>
      <xdr:rowOff>121705</xdr:rowOff>
    </xdr:from>
    <xdr:to>
      <xdr:col>8</xdr:col>
      <xdr:colOff>67230</xdr:colOff>
      <xdr:row>104</xdr:row>
      <xdr:rowOff>60432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2480" y="18840598"/>
          <a:ext cx="592678" cy="310655"/>
        </a:xfrm>
        <a:prstGeom prst="rect">
          <a:avLst/>
        </a:prstGeom>
      </xdr:spPr>
    </xdr:pic>
    <xdr:clientData/>
  </xdr:twoCellAnchor>
  <xdr:twoCellAnchor editAs="oneCell">
    <xdr:from>
      <xdr:col>4</xdr:col>
      <xdr:colOff>443627</xdr:colOff>
      <xdr:row>94</xdr:row>
      <xdr:rowOff>101996</xdr:rowOff>
    </xdr:from>
    <xdr:to>
      <xdr:col>5</xdr:col>
      <xdr:colOff>87892</xdr:colOff>
      <xdr:row>96</xdr:row>
      <xdr:rowOff>62559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981485" y="17333174"/>
          <a:ext cx="578621" cy="332491"/>
        </a:xfrm>
        <a:prstGeom prst="rect">
          <a:avLst/>
        </a:prstGeom>
      </xdr:spPr>
    </xdr:pic>
    <xdr:clientData/>
  </xdr:twoCellAnchor>
  <xdr:twoCellAnchor editAs="oneCell">
    <xdr:from>
      <xdr:col>4</xdr:col>
      <xdr:colOff>283375</xdr:colOff>
      <xdr:row>100</xdr:row>
      <xdr:rowOff>89956</xdr:rowOff>
    </xdr:from>
    <xdr:to>
      <xdr:col>4</xdr:col>
      <xdr:colOff>914413</xdr:colOff>
      <xdr:row>102</xdr:row>
      <xdr:rowOff>65273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21233" y="18436920"/>
          <a:ext cx="631038" cy="347246"/>
        </a:xfrm>
        <a:prstGeom prst="rect">
          <a:avLst/>
        </a:prstGeom>
      </xdr:spPr>
    </xdr:pic>
    <xdr:clientData/>
  </xdr:twoCellAnchor>
  <xdr:twoCellAnchor editAs="oneCell">
    <xdr:from>
      <xdr:col>3</xdr:col>
      <xdr:colOff>372557</xdr:colOff>
      <xdr:row>100</xdr:row>
      <xdr:rowOff>139041</xdr:rowOff>
    </xdr:from>
    <xdr:to>
      <xdr:col>3</xdr:col>
      <xdr:colOff>775387</xdr:colOff>
      <xdr:row>102</xdr:row>
      <xdr:rowOff>71024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16665" y="18486005"/>
          <a:ext cx="402830" cy="303912"/>
        </a:xfrm>
        <a:prstGeom prst="rect">
          <a:avLst/>
        </a:prstGeom>
      </xdr:spPr>
    </xdr:pic>
    <xdr:clientData/>
  </xdr:twoCellAnchor>
  <xdr:twoCellAnchor editAs="oneCell">
    <xdr:from>
      <xdr:col>3</xdr:col>
      <xdr:colOff>739833</xdr:colOff>
      <xdr:row>53</xdr:row>
      <xdr:rowOff>108065</xdr:rowOff>
    </xdr:from>
    <xdr:to>
      <xdr:col>7</xdr:col>
      <xdr:colOff>625812</xdr:colOff>
      <xdr:row>55</xdr:row>
      <xdr:rowOff>165288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41717" y="5752407"/>
          <a:ext cx="3174946" cy="43960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122463</xdr:colOff>
      <xdr:row>35</xdr:row>
      <xdr:rowOff>36285</xdr:rowOff>
    </xdr:from>
    <xdr:to>
      <xdr:col>4</xdr:col>
      <xdr:colOff>848176</xdr:colOff>
      <xdr:row>51</xdr:row>
      <xdr:rowOff>145942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463" y="6445249"/>
          <a:ext cx="4263571" cy="3085085"/>
        </a:xfrm>
        <a:prstGeom prst="rect">
          <a:avLst/>
        </a:prstGeom>
      </xdr:spPr>
    </xdr:pic>
    <xdr:clientData/>
  </xdr:twoCellAnchor>
  <xdr:twoCellAnchor>
    <xdr:from>
      <xdr:col>0</xdr:col>
      <xdr:colOff>648607</xdr:colOff>
      <xdr:row>41</xdr:row>
      <xdr:rowOff>181428</xdr:rowOff>
    </xdr:from>
    <xdr:to>
      <xdr:col>1</xdr:col>
      <xdr:colOff>367392</xdr:colOff>
      <xdr:row>43</xdr:row>
      <xdr:rowOff>58964</xdr:rowOff>
    </xdr:to>
    <xdr:sp macro="" textlink="">
      <xdr:nvSpPr>
        <xdr:cNvPr id="12" name="CasellaDiTesto 11"/>
        <xdr:cNvSpPr txBox="1"/>
      </xdr:nvSpPr>
      <xdr:spPr>
        <a:xfrm>
          <a:off x="648607" y="7465786"/>
          <a:ext cx="653143" cy="249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/>
            <a:t>0.02 m3/s</a:t>
          </a:r>
        </a:p>
      </xdr:txBody>
    </xdr:sp>
    <xdr:clientData/>
  </xdr:twoCellAnchor>
  <xdr:twoCellAnchor>
    <xdr:from>
      <xdr:col>1</xdr:col>
      <xdr:colOff>526141</xdr:colOff>
      <xdr:row>38</xdr:row>
      <xdr:rowOff>158751</xdr:rowOff>
    </xdr:from>
    <xdr:to>
      <xdr:col>2</xdr:col>
      <xdr:colOff>13606</xdr:colOff>
      <xdr:row>40</xdr:row>
      <xdr:rowOff>36286</xdr:rowOff>
    </xdr:to>
    <xdr:sp macro="" textlink="">
      <xdr:nvSpPr>
        <xdr:cNvPr id="13" name="CasellaDiTesto 12"/>
        <xdr:cNvSpPr txBox="1"/>
      </xdr:nvSpPr>
      <xdr:spPr>
        <a:xfrm>
          <a:off x="1460499" y="7075715"/>
          <a:ext cx="653143" cy="249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/>
            <a:t>0.0157</a:t>
          </a:r>
        </a:p>
      </xdr:txBody>
    </xdr:sp>
    <xdr:clientData/>
  </xdr:twoCellAnchor>
  <xdr:twoCellAnchor>
    <xdr:from>
      <xdr:col>2</xdr:col>
      <xdr:colOff>371928</xdr:colOff>
      <xdr:row>37</xdr:row>
      <xdr:rowOff>117928</xdr:rowOff>
    </xdr:from>
    <xdr:to>
      <xdr:col>3</xdr:col>
      <xdr:colOff>380999</xdr:colOff>
      <xdr:row>38</xdr:row>
      <xdr:rowOff>181428</xdr:rowOff>
    </xdr:to>
    <xdr:sp macro="" textlink="">
      <xdr:nvSpPr>
        <xdr:cNvPr id="15" name="CasellaDiTesto 14"/>
        <xdr:cNvSpPr txBox="1"/>
      </xdr:nvSpPr>
      <xdr:spPr>
        <a:xfrm>
          <a:off x="2471964" y="6658428"/>
          <a:ext cx="653143" cy="249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/>
            <a:t>0.011</a:t>
          </a:r>
        </a:p>
      </xdr:txBody>
    </xdr:sp>
    <xdr:clientData/>
  </xdr:twoCellAnchor>
  <xdr:twoCellAnchor>
    <xdr:from>
      <xdr:col>3</xdr:col>
      <xdr:colOff>553357</xdr:colOff>
      <xdr:row>36</xdr:row>
      <xdr:rowOff>27215</xdr:rowOff>
    </xdr:from>
    <xdr:to>
      <xdr:col>4</xdr:col>
      <xdr:colOff>412750</xdr:colOff>
      <xdr:row>37</xdr:row>
      <xdr:rowOff>90715</xdr:rowOff>
    </xdr:to>
    <xdr:sp macro="" textlink="">
      <xdr:nvSpPr>
        <xdr:cNvPr id="16" name="CasellaDiTesto 15"/>
        <xdr:cNvSpPr txBox="1"/>
      </xdr:nvSpPr>
      <xdr:spPr>
        <a:xfrm>
          <a:off x="3297465" y="6572251"/>
          <a:ext cx="653143" cy="249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/>
            <a:t>0.00524</a:t>
          </a:r>
        </a:p>
      </xdr:txBody>
    </xdr:sp>
    <xdr:clientData/>
  </xdr:twoCellAnchor>
  <xdr:twoCellAnchor>
    <xdr:from>
      <xdr:col>4</xdr:col>
      <xdr:colOff>625928</xdr:colOff>
      <xdr:row>40</xdr:row>
      <xdr:rowOff>149679</xdr:rowOff>
    </xdr:from>
    <xdr:to>
      <xdr:col>5</xdr:col>
      <xdr:colOff>344715</xdr:colOff>
      <xdr:row>43</xdr:row>
      <xdr:rowOff>90714</xdr:rowOff>
    </xdr:to>
    <xdr:sp macro="" textlink="">
      <xdr:nvSpPr>
        <xdr:cNvPr id="17" name="CasellaDiTesto 16"/>
        <xdr:cNvSpPr txBox="1"/>
      </xdr:nvSpPr>
      <xdr:spPr>
        <a:xfrm>
          <a:off x="4163786" y="7252607"/>
          <a:ext cx="653143" cy="49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/>
            <a:t>0.0052 =</a:t>
          </a:r>
          <a:br>
            <a:rPr lang="it-IT" sz="900"/>
          </a:br>
          <a:r>
            <a:rPr lang="it-IT" sz="900"/>
            <a:t>0.0367/7</a:t>
          </a:r>
          <a:br>
            <a:rPr lang="it-IT" sz="900"/>
          </a:br>
          <a:endParaRPr lang="it-IT" sz="900"/>
        </a:p>
      </xdr:txBody>
    </xdr:sp>
    <xdr:clientData/>
  </xdr:twoCellAnchor>
  <xdr:twoCellAnchor>
    <xdr:from>
      <xdr:col>2</xdr:col>
      <xdr:colOff>399143</xdr:colOff>
      <xdr:row>44</xdr:row>
      <xdr:rowOff>108857</xdr:rowOff>
    </xdr:from>
    <xdr:to>
      <xdr:col>3</xdr:col>
      <xdr:colOff>408214</xdr:colOff>
      <xdr:row>45</xdr:row>
      <xdr:rowOff>172357</xdr:rowOff>
    </xdr:to>
    <xdr:sp macro="" textlink="">
      <xdr:nvSpPr>
        <xdr:cNvPr id="18" name="CasellaDiTesto 17"/>
        <xdr:cNvSpPr txBox="1"/>
      </xdr:nvSpPr>
      <xdr:spPr>
        <a:xfrm>
          <a:off x="2499179" y="7955643"/>
          <a:ext cx="653143" cy="249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/>
            <a:t>0.043</a:t>
          </a:r>
        </a:p>
      </xdr:txBody>
    </xdr:sp>
    <xdr:clientData/>
  </xdr:twoCellAnchor>
  <xdr:twoCellAnchor>
    <xdr:from>
      <xdr:col>3</xdr:col>
      <xdr:colOff>780142</xdr:colOff>
      <xdr:row>47</xdr:row>
      <xdr:rowOff>158750</xdr:rowOff>
    </xdr:from>
    <xdr:to>
      <xdr:col>4</xdr:col>
      <xdr:colOff>639535</xdr:colOff>
      <xdr:row>50</xdr:row>
      <xdr:rowOff>99785</xdr:rowOff>
    </xdr:to>
    <xdr:sp macro="" textlink="">
      <xdr:nvSpPr>
        <xdr:cNvPr id="19" name="CasellaDiTesto 18"/>
        <xdr:cNvSpPr txBox="1"/>
      </xdr:nvSpPr>
      <xdr:spPr>
        <a:xfrm>
          <a:off x="3524250" y="8563428"/>
          <a:ext cx="653143" cy="49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/>
            <a:t>0.0043=</a:t>
          </a:r>
          <a:br>
            <a:rPr lang="it-IT" sz="900"/>
          </a:br>
          <a:r>
            <a:rPr lang="it-IT" sz="900"/>
            <a:t>0.03/7</a:t>
          </a:r>
          <a:br>
            <a:rPr lang="it-IT" sz="900"/>
          </a:br>
          <a:endParaRPr lang="it-IT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2"/>
  <sheetViews>
    <sheetView tabSelected="1" zoomScale="120" zoomScaleNormal="120" workbookViewId="0">
      <selection activeCell="I10" sqref="I10"/>
    </sheetView>
  </sheetViews>
  <sheetFormatPr defaultColWidth="8.84375" defaultRowHeight="14.6"/>
  <cols>
    <col min="1" max="1" width="13.23046875" style="1" customWidth="1"/>
    <col min="2" max="2" width="16.4609375" style="1" customWidth="1"/>
    <col min="3" max="3" width="9.07421875" style="1" customWidth="1"/>
    <col min="4" max="4" width="11.23046875" style="1" customWidth="1"/>
    <col min="5" max="5" width="13.23046875" style="1" customWidth="1"/>
    <col min="6" max="6" width="9.3046875" style="1" customWidth="1"/>
    <col min="7" max="7" width="10.07421875" style="1" customWidth="1"/>
    <col min="8" max="16384" width="8.84375" style="1"/>
  </cols>
  <sheetData>
    <row r="1" spans="1:5" ht="15.9">
      <c r="A1" s="67" t="s">
        <v>18</v>
      </c>
    </row>
    <row r="2" spans="1:5">
      <c r="A2" s="1" t="s">
        <v>45</v>
      </c>
      <c r="B2" s="1">
        <v>15</v>
      </c>
      <c r="C2" s="1" t="s">
        <v>14</v>
      </c>
      <c r="D2" s="1" t="s">
        <v>46</v>
      </c>
    </row>
    <row r="3" spans="1:5">
      <c r="A3" s="1" t="s">
        <v>53</v>
      </c>
      <c r="B3" s="1">
        <v>1.01</v>
      </c>
      <c r="C3" s="1" t="s">
        <v>16</v>
      </c>
      <c r="D3" s="1" t="s">
        <v>47</v>
      </c>
    </row>
    <row r="4" spans="1:5">
      <c r="A4" s="1" t="s">
        <v>44</v>
      </c>
      <c r="B4" s="1">
        <v>30</v>
      </c>
      <c r="C4" s="1" t="s">
        <v>14</v>
      </c>
      <c r="D4" s="1" t="s">
        <v>48</v>
      </c>
    </row>
    <row r="5" spans="1:5">
      <c r="A5" s="1" t="s">
        <v>52</v>
      </c>
      <c r="B5" s="1">
        <v>7</v>
      </c>
      <c r="C5" s="1" t="s">
        <v>16</v>
      </c>
      <c r="D5" s="1" t="s">
        <v>49</v>
      </c>
    </row>
    <row r="7" spans="1:5">
      <c r="A7" s="5" t="s">
        <v>0</v>
      </c>
      <c r="B7" s="5" t="s">
        <v>2</v>
      </c>
      <c r="C7" s="5" t="s">
        <v>8</v>
      </c>
      <c r="D7" s="5" t="s">
        <v>26</v>
      </c>
      <c r="E7" s="5" t="s">
        <v>4</v>
      </c>
    </row>
    <row r="8" spans="1:5">
      <c r="A8" s="5"/>
      <c r="B8" s="5"/>
      <c r="C8" s="5" t="s">
        <v>9</v>
      </c>
      <c r="D8" s="5" t="s">
        <v>10</v>
      </c>
      <c r="E8" s="5"/>
    </row>
    <row r="9" spans="1:5">
      <c r="A9" s="40" t="s">
        <v>1</v>
      </c>
      <c r="B9" s="3" t="s">
        <v>3</v>
      </c>
      <c r="C9" s="3">
        <v>1000</v>
      </c>
      <c r="D9" s="3">
        <v>7</v>
      </c>
      <c r="E9" s="3">
        <v>2</v>
      </c>
    </row>
    <row r="10" spans="1:5">
      <c r="A10" s="41"/>
      <c r="B10" s="3" t="s">
        <v>5</v>
      </c>
      <c r="C10" s="3">
        <v>1200</v>
      </c>
      <c r="D10" s="3">
        <v>7</v>
      </c>
      <c r="E10" s="3">
        <v>2</v>
      </c>
    </row>
    <row r="11" spans="1:5">
      <c r="A11" s="42"/>
      <c r="B11" s="3" t="s">
        <v>6</v>
      </c>
      <c r="C11" s="3">
        <v>1100</v>
      </c>
      <c r="D11" s="3">
        <v>7</v>
      </c>
      <c r="E11" s="3">
        <v>2</v>
      </c>
    </row>
    <row r="12" spans="1:5">
      <c r="A12" s="3" t="s">
        <v>15</v>
      </c>
      <c r="B12" s="3" t="s">
        <v>7</v>
      </c>
      <c r="C12" s="3">
        <v>1800</v>
      </c>
      <c r="D12" s="3">
        <v>7</v>
      </c>
      <c r="E12" s="3">
        <v>1</v>
      </c>
    </row>
    <row r="13" spans="1:5" ht="10.5" customHeight="1">
      <c r="A13" s="18"/>
      <c r="B13" s="18"/>
      <c r="C13" s="18"/>
      <c r="D13" s="18"/>
      <c r="E13" s="18"/>
    </row>
    <row r="14" spans="1:5">
      <c r="A14" s="15" t="s">
        <v>50</v>
      </c>
      <c r="D14" s="13">
        <v>80</v>
      </c>
      <c r="E14" s="14" t="s">
        <v>11</v>
      </c>
    </row>
    <row r="16" spans="1:5" ht="15.9">
      <c r="A16" s="67" t="s">
        <v>51</v>
      </c>
    </row>
    <row r="17" spans="1:6" ht="5.9" customHeight="1" thickBot="1"/>
    <row r="18" spans="1:6">
      <c r="A18" s="52" t="s">
        <v>0</v>
      </c>
      <c r="B18" s="53" t="s">
        <v>125</v>
      </c>
      <c r="C18" s="60" t="s">
        <v>4</v>
      </c>
      <c r="D18" s="53" t="s">
        <v>8</v>
      </c>
      <c r="E18" s="54" t="s">
        <v>12</v>
      </c>
      <c r="F18" s="55" t="s">
        <v>12</v>
      </c>
    </row>
    <row r="19" spans="1:6" ht="15" thickBot="1">
      <c r="A19" s="56"/>
      <c r="B19" s="57" t="s">
        <v>126</v>
      </c>
      <c r="C19" s="61"/>
      <c r="D19" s="57" t="s">
        <v>9</v>
      </c>
      <c r="E19" s="58" t="s">
        <v>9</v>
      </c>
      <c r="F19" s="59" t="s">
        <v>13</v>
      </c>
    </row>
    <row r="20" spans="1:6">
      <c r="A20" s="42" t="s">
        <v>1</v>
      </c>
      <c r="B20" s="50" t="s">
        <v>128</v>
      </c>
      <c r="C20" s="50">
        <v>2</v>
      </c>
      <c r="D20" s="50">
        <v>1000</v>
      </c>
      <c r="E20" s="50">
        <f>D20*C20</f>
        <v>2000</v>
      </c>
      <c r="F20" s="47">
        <f>E20/(1000*60)</f>
        <v>3.3333333333333333E-2</v>
      </c>
    </row>
    <row r="21" spans="1:6">
      <c r="A21" s="39"/>
      <c r="B21" s="33" t="s">
        <v>127</v>
      </c>
      <c r="C21" s="27">
        <v>2</v>
      </c>
      <c r="D21" s="27">
        <v>1200</v>
      </c>
      <c r="E21" s="3">
        <f t="shared" ref="E21:E23" si="0">D21*C21</f>
        <v>2400</v>
      </c>
      <c r="F21" s="16">
        <f t="shared" ref="F21:F23" si="1">E21/1000/60</f>
        <v>0.04</v>
      </c>
    </row>
    <row r="22" spans="1:6">
      <c r="A22" s="39"/>
      <c r="B22" s="33" t="s">
        <v>129</v>
      </c>
      <c r="C22" s="27">
        <v>2</v>
      </c>
      <c r="D22" s="27">
        <v>1100</v>
      </c>
      <c r="E22" s="3">
        <f t="shared" si="0"/>
        <v>2200</v>
      </c>
      <c r="F22" s="16">
        <f t="shared" si="1"/>
        <v>3.6666666666666667E-2</v>
      </c>
    </row>
    <row r="23" spans="1:6" ht="15" thickBot="1">
      <c r="A23" s="27" t="s">
        <v>15</v>
      </c>
      <c r="B23" s="33" t="s">
        <v>130</v>
      </c>
      <c r="C23" s="27">
        <v>1</v>
      </c>
      <c r="D23" s="27">
        <v>1800</v>
      </c>
      <c r="E23" s="7">
        <f t="shared" si="0"/>
        <v>1800</v>
      </c>
      <c r="F23" s="63">
        <f t="shared" si="1"/>
        <v>3.0000000000000002E-2</v>
      </c>
    </row>
    <row r="24" spans="1:6" ht="15" thickBot="1">
      <c r="A24" s="18"/>
      <c r="B24" s="18"/>
      <c r="C24" s="18"/>
      <c r="D24" s="18"/>
      <c r="E24" s="8" t="s">
        <v>27</v>
      </c>
      <c r="F24" s="9">
        <f>SUM(F19:F23)</f>
        <v>0.14000000000000001</v>
      </c>
    </row>
    <row r="25" spans="1:6" ht="15" thickBot="1">
      <c r="A25" s="18"/>
      <c r="B25" s="18"/>
      <c r="C25" s="18"/>
      <c r="D25" s="18"/>
      <c r="E25" s="8" t="s">
        <v>28</v>
      </c>
      <c r="F25" s="9">
        <f>SUM(F20:F23)*D14/100</f>
        <v>0.11200000000000002</v>
      </c>
    </row>
    <row r="26" spans="1:6">
      <c r="A26" s="18"/>
      <c r="B26" s="18"/>
      <c r="C26" s="18"/>
      <c r="D26" s="18"/>
      <c r="E26" s="18"/>
      <c r="F26" s="29"/>
    </row>
    <row r="27" spans="1:6">
      <c r="A27" s="15" t="s">
        <v>88</v>
      </c>
    </row>
    <row r="29" spans="1:6" ht="15.9">
      <c r="A29" s="67" t="s">
        <v>110</v>
      </c>
    </row>
    <row r="30" spans="1:6" ht="16.75" customHeight="1">
      <c r="A30" s="1" t="s">
        <v>85</v>
      </c>
    </row>
    <row r="31" spans="1:6">
      <c r="A31" s="1" t="s">
        <v>17</v>
      </c>
      <c r="B31" s="2">
        <f>F25*B3/B5*(B4+273)/(B2+273)</f>
        <v>1.7001666666666668E-2</v>
      </c>
      <c r="C31" s="1" t="s">
        <v>13</v>
      </c>
      <c r="D31" s="4" t="s">
        <v>111</v>
      </c>
    </row>
    <row r="32" spans="1:6">
      <c r="A32" s="15" t="s">
        <v>112</v>
      </c>
      <c r="B32" s="2"/>
      <c r="D32" s="4"/>
    </row>
    <row r="33" spans="1:4">
      <c r="B33" s="2"/>
      <c r="D33" s="4"/>
    </row>
    <row r="34" spans="1:4" ht="15.9">
      <c r="A34" s="67" t="s">
        <v>43</v>
      </c>
      <c r="B34" s="2"/>
      <c r="D34" s="4"/>
    </row>
    <row r="35" spans="1:4" ht="17.600000000000001" customHeight="1">
      <c r="A35" s="1" t="s">
        <v>131</v>
      </c>
      <c r="B35" s="2"/>
      <c r="D35" s="4"/>
    </row>
    <row r="36" spans="1:4">
      <c r="A36" s="15"/>
      <c r="B36" s="2"/>
      <c r="D36" s="4"/>
    </row>
    <row r="37" spans="1:4">
      <c r="A37" s="15"/>
      <c r="B37" s="2"/>
      <c r="D37" s="4"/>
    </row>
    <row r="38" spans="1:4">
      <c r="A38" s="15"/>
      <c r="B38" s="2"/>
      <c r="D38" s="4"/>
    </row>
    <row r="39" spans="1:4">
      <c r="A39" s="15"/>
      <c r="B39" s="2"/>
      <c r="D39" s="4"/>
    </row>
    <row r="40" spans="1:4">
      <c r="A40" s="15"/>
      <c r="B40" s="2"/>
      <c r="D40" s="4"/>
    </row>
    <row r="41" spans="1:4">
      <c r="A41" s="15"/>
      <c r="B41" s="2"/>
      <c r="D41" s="4"/>
    </row>
    <row r="53" spans="1:8">
      <c r="A53" s="1" t="s">
        <v>123</v>
      </c>
    </row>
    <row r="54" spans="1:8">
      <c r="A54" s="1" t="s">
        <v>78</v>
      </c>
      <c r="B54" s="1">
        <v>10</v>
      </c>
      <c r="C54" s="1" t="s">
        <v>32</v>
      </c>
    </row>
    <row r="56" spans="1:8" ht="14.4" customHeight="1">
      <c r="A56" s="1" t="s">
        <v>124</v>
      </c>
    </row>
    <row r="57" spans="1:8" ht="14.4" customHeight="1">
      <c r="A57" s="1" t="s">
        <v>122</v>
      </c>
    </row>
    <row r="58" spans="1:8" ht="11.6" customHeight="1" thickBot="1"/>
    <row r="59" spans="1:8">
      <c r="A59" s="52" t="s">
        <v>19</v>
      </c>
      <c r="B59" s="60" t="s">
        <v>25</v>
      </c>
      <c r="C59" s="60" t="s">
        <v>29</v>
      </c>
      <c r="D59" s="60" t="s">
        <v>30</v>
      </c>
      <c r="E59" s="53" t="s">
        <v>31</v>
      </c>
      <c r="F59" s="54" t="s">
        <v>35</v>
      </c>
      <c r="G59" s="60" t="s">
        <v>40</v>
      </c>
      <c r="H59" s="65" t="s">
        <v>42</v>
      </c>
    </row>
    <row r="60" spans="1:8" ht="15" thickBot="1">
      <c r="A60" s="56"/>
      <c r="B60" s="61"/>
      <c r="C60" s="61"/>
      <c r="D60" s="61"/>
      <c r="E60" s="57" t="s">
        <v>33</v>
      </c>
      <c r="F60" s="58" t="s">
        <v>34</v>
      </c>
      <c r="G60" s="61" t="s">
        <v>41</v>
      </c>
      <c r="H60" s="66" t="s">
        <v>32</v>
      </c>
    </row>
    <row r="61" spans="1:8">
      <c r="A61" s="64" t="s">
        <v>20</v>
      </c>
      <c r="B61" s="50">
        <v>20</v>
      </c>
      <c r="C61" s="50"/>
      <c r="D61" s="50"/>
      <c r="E61" s="47">
        <f>F24/B5</f>
        <v>0.02</v>
      </c>
      <c r="F61" s="48">
        <f>(4*(E61/$B$54)/3.14)^0.5*1000</f>
        <v>50.475446512506878</v>
      </c>
      <c r="G61" s="50">
        <v>54</v>
      </c>
      <c r="H61" s="49">
        <f>E61/(3.14*(G61/1000)^2/4)</f>
        <v>8.7372109075340969</v>
      </c>
    </row>
    <row r="62" spans="1:8">
      <c r="A62" s="10" t="s">
        <v>21</v>
      </c>
      <c r="B62" s="3">
        <v>15</v>
      </c>
      <c r="C62" s="3">
        <v>2</v>
      </c>
      <c r="D62" s="3" t="s">
        <v>36</v>
      </c>
      <c r="E62" s="16">
        <f>(F20+F21+F22)/B5</f>
        <v>1.5714285714285715E-2</v>
      </c>
      <c r="F62" s="11">
        <f t="shared" ref="F62:F65" si="2">(4*(E62/$B$54)/3.14)^0.5*1000</f>
        <v>44.741701311134122</v>
      </c>
      <c r="G62" s="3">
        <v>54</v>
      </c>
      <c r="H62" s="12">
        <f t="shared" ref="H62:H65" si="3">E62/(3.14*(G62/1000)^2/4)</f>
        <v>6.8649514273482195</v>
      </c>
    </row>
    <row r="63" spans="1:8">
      <c r="A63" s="10" t="s">
        <v>22</v>
      </c>
      <c r="B63" s="3">
        <v>15</v>
      </c>
      <c r="C63" s="3">
        <v>3</v>
      </c>
      <c r="D63" s="3" t="s">
        <v>37</v>
      </c>
      <c r="E63" s="16">
        <f>(F21+F22)/B5</f>
        <v>1.0952380952380951E-2</v>
      </c>
      <c r="F63" s="11">
        <f t="shared" si="2"/>
        <v>37.352480033252363</v>
      </c>
      <c r="G63" s="3">
        <v>42</v>
      </c>
      <c r="H63" s="12">
        <f t="shared" si="3"/>
        <v>7.9093410693566657</v>
      </c>
    </row>
    <row r="64" spans="1:8">
      <c r="A64" s="10" t="s">
        <v>23</v>
      </c>
      <c r="B64" s="3">
        <v>15</v>
      </c>
      <c r="C64" s="3">
        <v>4</v>
      </c>
      <c r="D64" s="3" t="s">
        <v>38</v>
      </c>
      <c r="E64" s="62">
        <f>F22/B5</f>
        <v>5.2380952380952379E-3</v>
      </c>
      <c r="F64" s="11">
        <f t="shared" si="2"/>
        <v>25.831633295985117</v>
      </c>
      <c r="G64" s="3">
        <v>28</v>
      </c>
      <c r="H64" s="12">
        <f t="shared" si="3"/>
        <v>8.5111387594164132</v>
      </c>
    </row>
    <row r="65" spans="1:8">
      <c r="A65" s="10" t="s">
        <v>24</v>
      </c>
      <c r="B65" s="3">
        <v>25</v>
      </c>
      <c r="C65" s="3">
        <v>5</v>
      </c>
      <c r="D65" s="3" t="s">
        <v>39</v>
      </c>
      <c r="E65" s="16">
        <f>F23/B5</f>
        <v>4.2857142857142859E-3</v>
      </c>
      <c r="F65" s="11">
        <f t="shared" si="2"/>
        <v>23.3655914631366</v>
      </c>
      <c r="G65" s="3">
        <v>28</v>
      </c>
      <c r="H65" s="12">
        <f t="shared" si="3"/>
        <v>6.9636589849770658</v>
      </c>
    </row>
    <row r="66" spans="1:8">
      <c r="A66" s="15" t="s">
        <v>113</v>
      </c>
    </row>
    <row r="67" spans="1:8">
      <c r="A67" s="15" t="s">
        <v>114</v>
      </c>
    </row>
    <row r="69" spans="1:8" ht="15.9">
      <c r="A69" s="67" t="s">
        <v>54</v>
      </c>
    </row>
    <row r="70" spans="1:8" ht="20.149999999999999" customHeight="1">
      <c r="A70" s="1" t="s">
        <v>115</v>
      </c>
    </row>
    <row r="71" spans="1:8" ht="16.3" customHeight="1">
      <c r="A71" s="1" t="s">
        <v>55</v>
      </c>
      <c r="B71" s="1">
        <v>30</v>
      </c>
      <c r="C71" s="1" t="s">
        <v>14</v>
      </c>
    </row>
    <row r="72" spans="1:8">
      <c r="A72" s="1" t="s">
        <v>52</v>
      </c>
      <c r="B72" s="1">
        <v>7</v>
      </c>
      <c r="C72" s="1" t="s">
        <v>10</v>
      </c>
    </row>
    <row r="73" spans="1:8">
      <c r="A73" s="19" t="s">
        <v>56</v>
      </c>
      <c r="B73" s="20">
        <f>(287*(B71+273)/(B72*10^5))^-1</f>
        <v>8.0495854463495142</v>
      </c>
      <c r="C73" s="1" t="s">
        <v>57</v>
      </c>
    </row>
    <row r="74" spans="1:8">
      <c r="A74" s="19" t="s">
        <v>116</v>
      </c>
      <c r="B74" s="32">
        <f>(-9*10^-9*B71^2+4*10^-5*B71+0.0168)/1000</f>
        <v>1.79919E-5</v>
      </c>
      <c r="C74" s="17" t="s">
        <v>59</v>
      </c>
      <c r="D74" s="17"/>
      <c r="E74" s="17"/>
      <c r="F74" s="17"/>
    </row>
    <row r="75" spans="1:8">
      <c r="A75" s="19" t="s">
        <v>117</v>
      </c>
      <c r="B75" s="32">
        <f>B74/B73</f>
        <v>2.2351337369999995E-6</v>
      </c>
      <c r="C75" s="17" t="s">
        <v>119</v>
      </c>
      <c r="D75" s="17"/>
      <c r="E75" s="17"/>
      <c r="F75" s="17"/>
    </row>
    <row r="76" spans="1:8">
      <c r="A76" s="1" t="s">
        <v>118</v>
      </c>
      <c r="B76" s="21">
        <f>150*10^-6</f>
        <v>1.4999999999999999E-4</v>
      </c>
      <c r="C76" s="17" t="s">
        <v>58</v>
      </c>
      <c r="D76" s="17" t="s">
        <v>83</v>
      </c>
      <c r="E76" s="17"/>
      <c r="F76" s="17"/>
    </row>
    <row r="77" spans="1:8">
      <c r="A77" s="17"/>
      <c r="B77" s="17"/>
      <c r="C77" s="17"/>
      <c r="D77" s="17"/>
      <c r="E77" s="18"/>
      <c r="F77" s="18"/>
    </row>
    <row r="78" spans="1:8">
      <c r="A78" s="5" t="s">
        <v>19</v>
      </c>
      <c r="B78" s="5" t="s">
        <v>25</v>
      </c>
      <c r="C78" s="5" t="s">
        <v>64</v>
      </c>
      <c r="D78" s="5" t="s">
        <v>42</v>
      </c>
      <c r="E78" s="5" t="s">
        <v>60</v>
      </c>
      <c r="F78" s="5" t="s">
        <v>61</v>
      </c>
      <c r="G78" s="5" t="s">
        <v>63</v>
      </c>
      <c r="H78" s="5" t="s">
        <v>70</v>
      </c>
    </row>
    <row r="79" spans="1:8">
      <c r="A79" s="5"/>
      <c r="B79" s="5"/>
      <c r="C79" s="5" t="s">
        <v>41</v>
      </c>
      <c r="D79" s="5" t="s">
        <v>32</v>
      </c>
      <c r="E79" s="22" t="s">
        <v>120</v>
      </c>
      <c r="F79" s="5"/>
      <c r="G79" s="5" t="s">
        <v>58</v>
      </c>
      <c r="H79" s="5" t="s">
        <v>62</v>
      </c>
    </row>
    <row r="80" spans="1:8">
      <c r="A80" s="10" t="s">
        <v>20</v>
      </c>
      <c r="B80" s="3">
        <v>20</v>
      </c>
      <c r="C80" s="3">
        <f>G61</f>
        <v>54</v>
      </c>
      <c r="D80" s="12">
        <f>H61</f>
        <v>8.7372109075340969</v>
      </c>
      <c r="E80" s="11">
        <f>D80*(C80/1000)/($B$74/$B$73)</f>
        <v>211087.7667839709</v>
      </c>
      <c r="F80" s="6">
        <f>1.325*(LN($B$76/(C80/1000)/3.7+5.74*E80^-0.9))^-2</f>
        <v>2.644770060958878E-2</v>
      </c>
      <c r="G80" s="23">
        <f>F80*B80/(C80/1000)*D80^2/19.62</f>
        <v>38.112794336473996</v>
      </c>
      <c r="H80" s="11">
        <f>$B$73*9.81*G80</f>
        <v>3009.6314291299204</v>
      </c>
    </row>
    <row r="81" spans="1:8">
      <c r="A81" s="10" t="s">
        <v>21</v>
      </c>
      <c r="B81" s="3">
        <v>15</v>
      </c>
      <c r="C81" s="27">
        <f t="shared" ref="C81:C84" si="4">G62</f>
        <v>54</v>
      </c>
      <c r="D81" s="12">
        <f>H62</f>
        <v>6.8649514273482195</v>
      </c>
      <c r="E81" s="11">
        <f t="shared" ref="E81:E84" si="5">D81*(C81/1000)/($B$74/$B$73)</f>
        <v>165854.67390169142</v>
      </c>
      <c r="F81" s="6">
        <f t="shared" ref="F81:F84" si="6">1.325*(LN($B$76/(C81/1000)/3.7+5.74*E81^-0.9))^-2</f>
        <v>2.6645214963177816E-2</v>
      </c>
      <c r="G81" s="23">
        <f t="shared" ref="G81:G84" si="7">F81*B81/(C81/1000)*D81^2/19.62</f>
        <v>17.778399539304626</v>
      </c>
      <c r="H81" s="11">
        <f t="shared" ref="H81:H84" si="8">$B$73*9.81*G81</f>
        <v>1403.8968001334495</v>
      </c>
    </row>
    <row r="82" spans="1:8">
      <c r="A82" s="10" t="s">
        <v>22</v>
      </c>
      <c r="B82" s="3">
        <v>15</v>
      </c>
      <c r="C82" s="27">
        <f t="shared" si="4"/>
        <v>42</v>
      </c>
      <c r="D82" s="12">
        <f>H63</f>
        <v>7.9093410693566657</v>
      </c>
      <c r="E82" s="11">
        <f t="shared" si="5"/>
        <v>148623.0194703468</v>
      </c>
      <c r="F82" s="6">
        <f t="shared" si="6"/>
        <v>2.8491598732060582E-2</v>
      </c>
      <c r="G82" s="23">
        <f t="shared" si="7"/>
        <v>32.444448203659306</v>
      </c>
      <c r="H82" s="11">
        <f t="shared" si="8"/>
        <v>2562.0223527159128</v>
      </c>
    </row>
    <row r="83" spans="1:8">
      <c r="A83" s="10" t="s">
        <v>23</v>
      </c>
      <c r="B83" s="3">
        <v>15</v>
      </c>
      <c r="C83" s="27">
        <f t="shared" si="4"/>
        <v>28</v>
      </c>
      <c r="D83" s="12">
        <f>H64</f>
        <v>8.5111387594164132</v>
      </c>
      <c r="E83" s="11">
        <f t="shared" si="5"/>
        <v>106620.86179394447</v>
      </c>
      <c r="F83" s="6">
        <f t="shared" si="6"/>
        <v>3.2089249789778111E-2</v>
      </c>
      <c r="G83" s="23">
        <f t="shared" si="7"/>
        <v>63.470092399876414</v>
      </c>
      <c r="H83" s="11">
        <f t="shared" si="8"/>
        <v>5012.0068135135452</v>
      </c>
    </row>
    <row r="84" spans="1:8">
      <c r="A84" s="10" t="s">
        <v>24</v>
      </c>
      <c r="B84" s="3">
        <v>25</v>
      </c>
      <c r="C84" s="27">
        <f t="shared" si="4"/>
        <v>28</v>
      </c>
      <c r="D84" s="12">
        <f>H65</f>
        <v>6.9636589849770658</v>
      </c>
      <c r="E84" s="11">
        <f t="shared" si="5"/>
        <v>87235.250558681844</v>
      </c>
      <c r="F84" s="6">
        <f t="shared" si="6"/>
        <v>3.2297287227784015E-2</v>
      </c>
      <c r="G84" s="23">
        <f t="shared" si="7"/>
        <v>71.272831176034714</v>
      </c>
      <c r="H84" s="11">
        <f t="shared" si="8"/>
        <v>5628.1612640819503</v>
      </c>
    </row>
    <row r="85" spans="1:8">
      <c r="A85" s="51" t="s">
        <v>121</v>
      </c>
      <c r="B85" s="17"/>
      <c r="C85" s="17"/>
      <c r="D85" s="17"/>
      <c r="E85" s="17"/>
      <c r="F85" s="17"/>
      <c r="G85" s="25"/>
      <c r="H85" s="25"/>
    </row>
    <row r="86" spans="1:8" ht="8.6" customHeight="1">
      <c r="A86" s="17"/>
      <c r="B86" s="17"/>
      <c r="C86" s="17"/>
      <c r="D86" s="17"/>
      <c r="E86" s="17"/>
      <c r="F86" s="17"/>
      <c r="G86" s="25"/>
      <c r="H86" s="25"/>
    </row>
    <row r="87" spans="1:8">
      <c r="A87" s="1" t="s">
        <v>80</v>
      </c>
      <c r="G87" s="18"/>
      <c r="H87" s="26"/>
    </row>
    <row r="88" spans="1:8">
      <c r="A88" s="1" t="s">
        <v>65</v>
      </c>
      <c r="B88" s="24">
        <f>SUM(G80:G83)</f>
        <v>151.80573447931434</v>
      </c>
      <c r="C88" s="1" t="s">
        <v>58</v>
      </c>
    </row>
    <row r="89" spans="1:8">
      <c r="A89" s="1" t="s">
        <v>69</v>
      </c>
      <c r="B89" s="35">
        <f>B73*9.81*B88</f>
        <v>11987.557395492828</v>
      </c>
      <c r="C89" s="1" t="s">
        <v>62</v>
      </c>
      <c r="D89" s="20">
        <f>B89/10^5</f>
        <v>0.11987557395492827</v>
      </c>
      <c r="E89" s="1" t="s">
        <v>16</v>
      </c>
    </row>
    <row r="91" spans="1:8">
      <c r="A91" s="1" t="s">
        <v>66</v>
      </c>
    </row>
    <row r="92" spans="1:8">
      <c r="A92" s="1" t="s">
        <v>134</v>
      </c>
    </row>
    <row r="94" spans="1:8" ht="15.9">
      <c r="A94" s="67" t="s">
        <v>77</v>
      </c>
    </row>
    <row r="95" spans="1:8">
      <c r="A95" s="1" t="s">
        <v>132</v>
      </c>
    </row>
    <row r="97" spans="1:8">
      <c r="A97" s="37" t="s">
        <v>67</v>
      </c>
      <c r="B97" s="38"/>
      <c r="C97" s="5" t="s">
        <v>68</v>
      </c>
    </row>
    <row r="98" spans="1:8">
      <c r="A98" s="45" t="s">
        <v>71</v>
      </c>
      <c r="B98" s="45"/>
      <c r="C98" s="27">
        <v>1</v>
      </c>
    </row>
    <row r="99" spans="1:8">
      <c r="A99" s="43" t="s">
        <v>72</v>
      </c>
      <c r="B99" s="44"/>
      <c r="C99" s="27">
        <v>0.5</v>
      </c>
    </row>
    <row r="100" spans="1:8">
      <c r="A100" s="43" t="s">
        <v>74</v>
      </c>
      <c r="B100" s="44"/>
      <c r="C100" s="27">
        <v>3</v>
      </c>
    </row>
    <row r="101" spans="1:8">
      <c r="A101" s="43" t="s">
        <v>73</v>
      </c>
      <c r="B101" s="44"/>
      <c r="C101" s="27">
        <v>1</v>
      </c>
    </row>
    <row r="102" spans="1:8">
      <c r="A102" s="43" t="s">
        <v>75</v>
      </c>
      <c r="B102" s="44"/>
      <c r="C102" s="27">
        <v>0.2</v>
      </c>
    </row>
    <row r="103" spans="1:8">
      <c r="A103" s="43" t="s">
        <v>76</v>
      </c>
      <c r="B103" s="44"/>
      <c r="C103" s="27">
        <v>0.1</v>
      </c>
    </row>
    <row r="104" spans="1:8">
      <c r="A104" s="46"/>
      <c r="B104" s="46"/>
      <c r="C104" s="46"/>
    </row>
    <row r="109" spans="1:8">
      <c r="A109" s="1" t="s">
        <v>133</v>
      </c>
    </row>
    <row r="110" spans="1:8" ht="9" customHeight="1"/>
    <row r="111" spans="1:8">
      <c r="A111" s="5" t="s">
        <v>19</v>
      </c>
      <c r="B111" s="5" t="s">
        <v>64</v>
      </c>
      <c r="C111" s="28" t="s">
        <v>42</v>
      </c>
      <c r="D111" s="5" t="s">
        <v>79</v>
      </c>
      <c r="E111" s="5" t="s">
        <v>135</v>
      </c>
    </row>
    <row r="112" spans="1:8">
      <c r="A112" s="5"/>
      <c r="B112" s="5" t="s">
        <v>41</v>
      </c>
      <c r="C112" s="28" t="s">
        <v>32</v>
      </c>
      <c r="D112" s="5"/>
      <c r="E112" s="22" t="s">
        <v>58</v>
      </c>
      <c r="F112" s="18"/>
      <c r="G112" s="18"/>
      <c r="H112" s="18"/>
    </row>
    <row r="113" spans="1:8">
      <c r="A113" s="10" t="s">
        <v>20</v>
      </c>
      <c r="B113" s="27">
        <f t="shared" ref="B113:C117" si="9">C80</f>
        <v>54</v>
      </c>
      <c r="C113" s="31">
        <f t="shared" si="9"/>
        <v>8.7372109075340969</v>
      </c>
      <c r="D113" s="27">
        <f>0.5+3</f>
        <v>3.5</v>
      </c>
      <c r="E113" s="23">
        <f>D113*C113^2/19.62</f>
        <v>13.6180423317821</v>
      </c>
      <c r="F113" s="18"/>
      <c r="G113" s="18"/>
      <c r="H113" s="18"/>
    </row>
    <row r="114" spans="1:8">
      <c r="A114" s="10" t="s">
        <v>21</v>
      </c>
      <c r="B114" s="27">
        <f t="shared" si="9"/>
        <v>54</v>
      </c>
      <c r="C114" s="31">
        <f t="shared" si="9"/>
        <v>6.8649514273482195</v>
      </c>
      <c r="D114" s="27">
        <f>1+1</f>
        <v>2</v>
      </c>
      <c r="E114" s="23">
        <f t="shared" ref="E114:E117" si="10">D114*C114^2/19.62</f>
        <v>4.8040324260805658</v>
      </c>
      <c r="F114" s="29"/>
      <c r="G114" s="30"/>
      <c r="H114" s="25"/>
    </row>
    <row r="115" spans="1:8">
      <c r="A115" s="10" t="s">
        <v>22</v>
      </c>
      <c r="B115" s="27">
        <f t="shared" si="9"/>
        <v>42</v>
      </c>
      <c r="C115" s="31">
        <f t="shared" si="9"/>
        <v>7.9093410693566657</v>
      </c>
      <c r="D115" s="27">
        <f>1</f>
        <v>1</v>
      </c>
      <c r="E115" s="23">
        <f t="shared" si="10"/>
        <v>3.1884646356479127</v>
      </c>
      <c r="F115" s="29"/>
      <c r="G115" s="30"/>
      <c r="H115" s="25"/>
    </row>
    <row r="116" spans="1:8">
      <c r="A116" s="10" t="s">
        <v>23</v>
      </c>
      <c r="B116" s="27">
        <f t="shared" si="9"/>
        <v>28</v>
      </c>
      <c r="C116" s="31">
        <f t="shared" si="9"/>
        <v>8.5111387594164132</v>
      </c>
      <c r="D116" s="27">
        <v>1</v>
      </c>
      <c r="E116" s="23">
        <f t="shared" si="10"/>
        <v>3.6921245148848296</v>
      </c>
      <c r="F116" s="29"/>
      <c r="G116" s="30"/>
      <c r="H116" s="25"/>
    </row>
    <row r="117" spans="1:8">
      <c r="A117" s="10" t="s">
        <v>24</v>
      </c>
      <c r="B117" s="27">
        <f t="shared" si="9"/>
        <v>28</v>
      </c>
      <c r="C117" s="31">
        <f t="shared" si="9"/>
        <v>6.9636589849770658</v>
      </c>
      <c r="D117" s="27">
        <f>1+1</f>
        <v>2</v>
      </c>
      <c r="E117" s="23">
        <f t="shared" si="10"/>
        <v>4.9431749703416727</v>
      </c>
      <c r="F117" s="29"/>
      <c r="G117" s="30"/>
      <c r="H117" s="25"/>
    </row>
    <row r="118" spans="1:8">
      <c r="F118" s="29"/>
      <c r="G118" s="30"/>
      <c r="H118" s="25"/>
    </row>
    <row r="119" spans="1:8">
      <c r="A119" s="1" t="s">
        <v>80</v>
      </c>
      <c r="F119" s="17"/>
      <c r="G119" s="17"/>
      <c r="H119" s="17"/>
    </row>
    <row r="120" spans="1:8">
      <c r="A120" s="1" t="s">
        <v>81</v>
      </c>
      <c r="B120" s="24">
        <f>SUM(E113:E116)</f>
        <v>25.302663908395409</v>
      </c>
      <c r="C120" s="1" t="s">
        <v>58</v>
      </c>
      <c r="G120" s="17"/>
      <c r="H120" s="17"/>
    </row>
    <row r="121" spans="1:8">
      <c r="A121" s="1" t="s">
        <v>82</v>
      </c>
      <c r="B121" s="35">
        <f>B73*9.81*B120</f>
        <v>1998.0611200302587</v>
      </c>
      <c r="C121" s="1" t="s">
        <v>62</v>
      </c>
      <c r="D121" s="20">
        <f>B121/10^5</f>
        <v>1.9980611200302586E-2</v>
      </c>
      <c r="E121" s="1" t="s">
        <v>16</v>
      </c>
    </row>
    <row r="122" spans="1:8">
      <c r="B122" s="35"/>
      <c r="D122" s="20"/>
    </row>
    <row r="123" spans="1:8" ht="15.9">
      <c r="A123" s="67" t="s">
        <v>140</v>
      </c>
      <c r="B123" s="35"/>
      <c r="D123" s="20"/>
    </row>
    <row r="124" spans="1:8" ht="9" customHeight="1"/>
    <row r="125" spans="1:8">
      <c r="A125" t="s">
        <v>141</v>
      </c>
    </row>
    <row r="136" spans="1:5">
      <c r="A136" s="1" t="s">
        <v>102</v>
      </c>
    </row>
    <row r="137" spans="1:5">
      <c r="A137" s="1" t="s">
        <v>84</v>
      </c>
      <c r="B137" s="20">
        <f>D89+D121+0.48</f>
        <v>0.61985618515523089</v>
      </c>
      <c r="C137" s="1" t="s">
        <v>16</v>
      </c>
    </row>
    <row r="140" spans="1:5" ht="15.9">
      <c r="A140" s="67" t="s">
        <v>142</v>
      </c>
    </row>
    <row r="141" spans="1:5" ht="18" customHeight="1">
      <c r="A141" s="1" t="s">
        <v>86</v>
      </c>
    </row>
    <row r="142" spans="1:5">
      <c r="A142" s="1" t="s">
        <v>91</v>
      </c>
      <c r="B142" s="20">
        <f>B5+B137</f>
        <v>7.6198561851552311</v>
      </c>
      <c r="C142" s="1" t="s">
        <v>16</v>
      </c>
    </row>
    <row r="143" spans="1:5">
      <c r="A143" s="1" t="s">
        <v>136</v>
      </c>
      <c r="B143" s="2">
        <f>F25</f>
        <v>0.11200000000000002</v>
      </c>
      <c r="C143" s="1" t="s">
        <v>13</v>
      </c>
      <c r="D143" s="1">
        <f>B143*3600</f>
        <v>403.20000000000005</v>
      </c>
      <c r="E143" s="1" t="s">
        <v>87</v>
      </c>
    </row>
    <row r="145" spans="1:7">
      <c r="A145" s="1" t="s">
        <v>103</v>
      </c>
    </row>
    <row r="146" spans="1:7">
      <c r="A146" s="1" t="s">
        <v>92</v>
      </c>
      <c r="B146" s="1">
        <v>1.25</v>
      </c>
      <c r="C146" s="1" t="s">
        <v>104</v>
      </c>
    </row>
    <row r="147" spans="1:7">
      <c r="A147" s="1" t="s">
        <v>90</v>
      </c>
      <c r="B147" s="36">
        <f>B143*B146</f>
        <v>0.14000000000000001</v>
      </c>
      <c r="C147" s="1" t="s">
        <v>13</v>
      </c>
      <c r="D147" s="1">
        <f>B147*3600</f>
        <v>504.00000000000006</v>
      </c>
      <c r="E147" s="1" t="s">
        <v>87</v>
      </c>
    </row>
    <row r="148" spans="1:7">
      <c r="B148" s="2"/>
    </row>
    <row r="149" spans="1:7">
      <c r="A149" s="1" t="s">
        <v>137</v>
      </c>
    </row>
    <row r="150" spans="1:7">
      <c r="A150" s="1" t="s">
        <v>105</v>
      </c>
    </row>
    <row r="151" spans="1:7">
      <c r="A151" s="1" t="s">
        <v>93</v>
      </c>
      <c r="B151" s="20">
        <f>D147/60/B142</f>
        <v>1.102383010372902</v>
      </c>
      <c r="C151" s="1" t="s">
        <v>89</v>
      </c>
      <c r="D151" s="1" t="s">
        <v>138</v>
      </c>
    </row>
    <row r="153" spans="1:7" ht="15.9">
      <c r="A153" s="67" t="s">
        <v>139</v>
      </c>
    </row>
    <row r="154" spans="1:7" ht="4.3" customHeight="1"/>
    <row r="155" spans="1:7">
      <c r="A155" s="1" t="s">
        <v>106</v>
      </c>
      <c r="E155" s="14">
        <v>0.6</v>
      </c>
    </row>
    <row r="156" spans="1:7">
      <c r="A156" s="1" t="s">
        <v>107</v>
      </c>
      <c r="D156" s="35">
        <f>B147*B3*10^5*LN(B142/B3)/E155</f>
        <v>47623.6888628983</v>
      </c>
      <c r="E156" s="1" t="s">
        <v>94</v>
      </c>
      <c r="F156" s="34">
        <f>D156/1000</f>
        <v>47.623688862898298</v>
      </c>
      <c r="G156" s="1" t="s">
        <v>95</v>
      </c>
    </row>
    <row r="158" spans="1:7">
      <c r="A158" s="1" t="s">
        <v>108</v>
      </c>
      <c r="C158" s="1">
        <v>0.25</v>
      </c>
      <c r="D158" s="1" t="s">
        <v>96</v>
      </c>
    </row>
    <row r="159" spans="1:7">
      <c r="A159" s="1" t="s">
        <v>97</v>
      </c>
      <c r="C159" s="1">
        <v>300</v>
      </c>
      <c r="D159" s="1" t="s">
        <v>98</v>
      </c>
    </row>
    <row r="160" spans="1:7">
      <c r="A160" s="1" t="s">
        <v>99</v>
      </c>
      <c r="C160" s="1">
        <v>8</v>
      </c>
      <c r="D160" s="1" t="s">
        <v>100</v>
      </c>
    </row>
    <row r="162" spans="1:4">
      <c r="A162" s="1" t="s">
        <v>109</v>
      </c>
      <c r="C162" s="35">
        <f>C159*C160*C158*F156</f>
        <v>28574.213317738981</v>
      </c>
      <c r="D162" s="1" t="s">
        <v>101</v>
      </c>
    </row>
  </sheetData>
  <mergeCells count="10">
    <mergeCell ref="A103:B103"/>
    <mergeCell ref="A104:C104"/>
    <mergeCell ref="A99:B99"/>
    <mergeCell ref="A102:B102"/>
    <mergeCell ref="A101:B101"/>
    <mergeCell ref="A97:B97"/>
    <mergeCell ref="A20:A22"/>
    <mergeCell ref="A9:A11"/>
    <mergeCell ref="A100:B100"/>
    <mergeCell ref="A98:B98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Ryzen5700u</dc:creator>
  <cp:lastModifiedBy>R5800u</cp:lastModifiedBy>
  <cp:lastPrinted>2024-10-11T07:11:05Z</cp:lastPrinted>
  <dcterms:created xsi:type="dcterms:W3CDTF">2024-10-10T08:31:28Z</dcterms:created>
  <dcterms:modified xsi:type="dcterms:W3CDTF">2024-10-22T15:02:58Z</dcterms:modified>
</cp:coreProperties>
</file>